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95" yWindow="65281" windowWidth="13665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<sst xmlns="http://schemas.openxmlformats.org/spreadsheetml/2006/main" count="166" uniqueCount="113">
  <si>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</si>
  <si>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</si>
  <si>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</si>
  <si>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</si>
  <si>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</si>
  <si>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</si>
  <si>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</si>
  <si>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</si>
  <si>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</si>
  <si>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</si>
  <si>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</si>
  <si>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</si>
  <si>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</si>
  <si>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</si>
  <si>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</si>
  <si>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</si>
  <si>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</si>
  <si>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</si>
  <si>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</si>
  <si>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</si>
  <si>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</si>
  <si>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</si>
  <si>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</si>
  <si>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</si>
  <si>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</si>
  <si>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</si>
  <si>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</si>
  <si>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</si>
  <si>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</si>
  <si>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</si>
  <si>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</si>
  <si>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</si>
  <si>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</si>
  <si>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</si>
  <si>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</si>
  <si>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</si>
  <si>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</si>
  <si>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</si>
  <si>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</si>
  <si>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</si>
  <si>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</si>
  <si>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</si>
  <si>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</si>
  <si>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</si>
  <si>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</si>
  <si>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</si>
  <si>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</si>
  <si>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</si>
  <si>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</si>
  <si>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</si>
  <si>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</si>
  <si>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</si>
  <si>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</si>
  <si>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</si>
  <si>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</si>
  <si>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</si>
  <si>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</si>
  <si>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</si>
  <si>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</si>
  <si>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</si>
  <si>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</si>
  <si>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</si>
  <si>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</si>
  <si>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</si>
  <si>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</si>
  <si>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</si>
  <si>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</si>
  <si>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</si>
  <si>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</si>
  <si>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</si>
  <si>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</si>
  <si>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</si>
  <si>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</si>
  <si>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</si>
  <si>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</si>
  <si>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</si>
  <si>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</si>
  <si>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</si>
  <si>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</si>
  <si>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</si>
  <si>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</si>
  <si>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</si>
  <si>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</si>
  <si>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</si>
  <si>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</si>
  <si>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</si>
  <si>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</si>
  <si>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</si>
  <si>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</si>
  <si>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</si>
  <si>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</si>
  <si>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</si>
  <si>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</si>
  <si>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</si>
  <si>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</si>
  <si>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</si>
  <si>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</si>
  <si>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</si>
  <si>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</si>
  <si>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</si>
  <si>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</si>
  <si>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</si>
  <si>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</si>
  <si>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</si>
  <si>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</si>
  <si>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</si>
  <si>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</si>
  <si>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</si>
  <si>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</si>
  <si>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</si>
  <si>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</si>
  <si>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</si>
  <si>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30.01.2019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</si>
</sst>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6" borderId="10" xfId="0" applyNumberFormat="1" applyFont="1" applyFill="1" applyBorder="1" applyAlignment="1">
      <alignment/>
    </xf>
    <xf numFmtId="190" fontId="4" fillId="36" borderId="12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1178</c:v>
                </c:pt>
                <c:pt idx="3">
                  <c:v>1935.4000000000015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15290.5</c:v>
                </c:pt>
                <c:pt idx="1">
                  <c:v>15161.699999999999</c:v>
                </c:pt>
                <c:pt idx="3">
                  <c:v>128.8000000000011</c:v>
                </c:pt>
              </c:numCache>
            </c:numRef>
          </c:val>
          <c:shape val="box"/>
        </c:ser>
        <c:shape val="box"/>
        <c:axId val="37587441"/>
        <c:axId val="2742650"/>
      </c:bar3DChart>
      <c:catAx>
        <c:axId val="3758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2650"/>
        <c:crosses val="autoZero"/>
        <c:auto val="1"/>
        <c:lblOffset val="100"/>
        <c:tickLblSkip val="1"/>
        <c:noMultiLvlLbl val="0"/>
      </c:catAx>
      <c:valAx>
        <c:axId val="2742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7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209846.8</c:v>
                </c:pt>
                <c:pt idx="1">
                  <c:v>69058.79999999999</c:v>
                </c:pt>
                <c:pt idx="2">
                  <c:v>164753.3</c:v>
                </c:pt>
                <c:pt idx="4">
                  <c:v>13313.7</c:v>
                </c:pt>
                <c:pt idx="5">
                  <c:v>27896.7</c:v>
                </c:pt>
                <c:pt idx="6">
                  <c:v>3222.6</c:v>
                </c:pt>
                <c:pt idx="7">
                  <c:v>660.4999999999986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41014.6</c:v>
                </c:pt>
                <c:pt idx="1">
                  <c:v>10667.800000000001</c:v>
                </c:pt>
                <c:pt idx="2">
                  <c:v>38361.8</c:v>
                </c:pt>
                <c:pt idx="4">
                  <c:v>1648.8999999999999</c:v>
                </c:pt>
                <c:pt idx="6">
                  <c:v>998.3</c:v>
                </c:pt>
                <c:pt idx="7">
                  <c:v>5.599999999995816</c:v>
                </c:pt>
              </c:numCache>
            </c:numRef>
          </c:val>
          <c:shape val="box"/>
        </c:ser>
        <c:shape val="box"/>
        <c:axId val="24683851"/>
        <c:axId val="20828068"/>
      </c:bar3DChart>
      <c:catAx>
        <c:axId val="24683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28068"/>
        <c:crosses val="autoZero"/>
        <c:auto val="1"/>
        <c:lblOffset val="100"/>
        <c:tickLblSkip val="1"/>
        <c:noMultiLvlLbl val="0"/>
      </c:catAx>
      <c:valAx>
        <c:axId val="20828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83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96125.59999999999</c:v>
                </c:pt>
                <c:pt idx="1">
                  <c:v>51114.4</c:v>
                </c:pt>
                <c:pt idx="2">
                  <c:v>249.8</c:v>
                </c:pt>
                <c:pt idx="3">
                  <c:v>95875.79999999999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24016.3</c:v>
                </c:pt>
                <c:pt idx="1">
                  <c:v>17038</c:v>
                </c:pt>
                <c:pt idx="3">
                  <c:v>24016.3</c:v>
                </c:pt>
              </c:numCache>
            </c:numRef>
          </c:val>
          <c:shape val="box"/>
        </c:ser>
        <c:shape val="box"/>
        <c:axId val="53234885"/>
        <c:axId val="9351918"/>
      </c:bar3DChart>
      <c:catAx>
        <c:axId val="5323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51918"/>
        <c:crosses val="autoZero"/>
        <c:auto val="1"/>
        <c:lblOffset val="100"/>
        <c:tickLblSkip val="1"/>
        <c:noMultiLvlLbl val="0"/>
      </c:catAx>
      <c:valAx>
        <c:axId val="9351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34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1311.5</c:v>
                </c:pt>
                <c:pt idx="1">
                  <c:v>1016.3000000000001</c:v>
                </c:pt>
                <c:pt idx="2">
                  <c:v>12</c:v>
                </c:pt>
                <c:pt idx="4">
                  <c:v>43</c:v>
                </c:pt>
                <c:pt idx="5">
                  <c:v>5.1</c:v>
                </c:pt>
                <c:pt idx="6">
                  <c:v>235.09999999999994</c:v>
                </c:pt>
              </c:numCache>
            </c:numRef>
          </c:val>
          <c:shape val="box"/>
        </c:ser>
        <c:shape val="box"/>
        <c:axId val="17058399"/>
        <c:axId val="19307864"/>
      </c:bar3DChart>
      <c:catAx>
        <c:axId val="170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07864"/>
        <c:crosses val="autoZero"/>
        <c:auto val="1"/>
        <c:lblOffset val="100"/>
        <c:tickLblSkip val="1"/>
        <c:noMultiLvlLbl val="0"/>
      </c:catAx>
      <c:valAx>
        <c:axId val="19307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8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9498.7</c:v>
                </c:pt>
                <c:pt idx="1">
                  <c:v>5388.9</c:v>
                </c:pt>
                <c:pt idx="3">
                  <c:v>274.8</c:v>
                </c:pt>
                <c:pt idx="4">
                  <c:v>507.8</c:v>
                </c:pt>
                <c:pt idx="5">
                  <c:v>870</c:v>
                </c:pt>
                <c:pt idx="6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2125.1</c:v>
                </c:pt>
                <c:pt idx="1">
                  <c:v>1702.1</c:v>
                </c:pt>
                <c:pt idx="3">
                  <c:v>10.8</c:v>
                </c:pt>
                <c:pt idx="6">
                  <c:v>412.2</c:v>
                </c:pt>
              </c:numCache>
            </c:numRef>
          </c:val>
          <c:shape val="box"/>
        </c:ser>
        <c:shape val="box"/>
        <c:axId val="39553049"/>
        <c:axId val="20433122"/>
      </c:bar3DChart>
      <c:catAx>
        <c:axId val="39553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33122"/>
        <c:crosses val="autoZero"/>
        <c:auto val="1"/>
        <c:lblOffset val="100"/>
        <c:tickLblSkip val="2"/>
        <c:noMultiLvlLbl val="0"/>
      </c:catAx>
      <c:valAx>
        <c:axId val="20433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3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2261.1</c:v>
                </c:pt>
                <c:pt idx="1">
                  <c:v>936.2</c:v>
                </c:pt>
                <c:pt idx="3">
                  <c:v>351.7</c:v>
                </c:pt>
                <c:pt idx="5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275.3</c:v>
                </c:pt>
                <c:pt idx="1">
                  <c:v>275.3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49680371"/>
        <c:axId val="44470156"/>
      </c:bar3DChart>
      <c:catAx>
        <c:axId val="4968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70156"/>
        <c:crosses val="autoZero"/>
        <c:auto val="1"/>
        <c:lblOffset val="100"/>
        <c:tickLblSkip val="1"/>
        <c:noMultiLvlLbl val="0"/>
      </c:catAx>
      <c:valAx>
        <c:axId val="44470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0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1846.2</c:v>
                </c:pt>
              </c:numCache>
            </c:numRef>
          </c:val>
          <c:shape val="box"/>
        </c:ser>
        <c:shape val="box"/>
        <c:axId val="64687085"/>
        <c:axId val="45312854"/>
      </c:bar3DChart>
      <c:catAx>
        <c:axId val="6468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312854"/>
        <c:crosses val="autoZero"/>
        <c:auto val="1"/>
        <c:lblOffset val="100"/>
        <c:tickLblSkip val="1"/>
        <c:noMultiLvlLbl val="0"/>
      </c:catAx>
      <c:valAx>
        <c:axId val="45312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7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209846.8</c:v>
                </c:pt>
                <c:pt idx="1">
                  <c:v>96125.59999999999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41014.6</c:v>
                </c:pt>
                <c:pt idx="1">
                  <c:v>24016.3</c:v>
                </c:pt>
                <c:pt idx="2">
                  <c:v>1311.5</c:v>
                </c:pt>
                <c:pt idx="3">
                  <c:v>2125.1</c:v>
                </c:pt>
                <c:pt idx="4">
                  <c:v>275.3</c:v>
                </c:pt>
                <c:pt idx="5">
                  <c:v>15290.5</c:v>
                </c:pt>
                <c:pt idx="6">
                  <c:v>1846.2</c:v>
                </c:pt>
              </c:numCache>
            </c:numRef>
          </c:val>
          <c:shape val="box"/>
        </c:ser>
        <c:shape val="box"/>
        <c:axId val="5162503"/>
        <c:axId val="46462528"/>
      </c:bar3DChart>
      <c:catAx>
        <c:axId val="5162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62528"/>
        <c:crosses val="autoZero"/>
        <c:auto val="1"/>
        <c:lblOffset val="100"/>
        <c:tickLblSkip val="1"/>
        <c:noMultiLvlLbl val="0"/>
      </c:catAx>
      <c:valAx>
        <c:axId val="46462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2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226542.90000000002</c:v>
                </c:pt>
                <c:pt idx="1">
                  <c:v>35533.6</c:v>
                </c:pt>
                <c:pt idx="2">
                  <c:v>13618.5</c:v>
                </c:pt>
                <c:pt idx="3">
                  <c:v>18430.100000000002</c:v>
                </c:pt>
                <c:pt idx="4">
                  <c:v>0</c:v>
                </c:pt>
                <c:pt idx="5">
                  <c:v>175308.29999999993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57629.6</c:v>
                </c:pt>
                <c:pt idx="1">
                  <c:v>158.6</c:v>
                </c:pt>
                <c:pt idx="2">
                  <c:v>1671.6999999999998</c:v>
                </c:pt>
                <c:pt idx="3">
                  <c:v>2947.7</c:v>
                </c:pt>
                <c:pt idx="4">
                  <c:v>0</c:v>
                </c:pt>
                <c:pt idx="5">
                  <c:v>34836.3</c:v>
                </c:pt>
              </c:numCache>
            </c:numRef>
          </c:val>
          <c:shape val="box"/>
        </c:ser>
        <c:shape val="box"/>
        <c:axId val="15509569"/>
        <c:axId val="5368394"/>
      </c:bar3DChart>
      <c:catAx>
        <c:axId val="1550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8394"/>
        <c:crosses val="autoZero"/>
        <c:auto val="1"/>
        <c:lblOffset val="100"/>
        <c:tickLblSkip val="1"/>
        <c:noMultiLvlLbl val="0"/>
      </c:catAx>
      <c:valAx>
        <c:axId val="5368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9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85" zoomScaleNormal="80" zoomScaleSheetLayoutView="85" workbookViewId="0" topLeftCell="A1">
      <selection activeCell="D10" sqref="D10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5" t="s">
        <v>112</v>
      </c>
      <c r="B1" s="165"/>
      <c r="C1" s="165"/>
      <c r="D1" s="165"/>
      <c r="E1" s="165"/>
      <c r="F1" s="165"/>
      <c r="G1" s="165"/>
      <c r="H1" s="165"/>
      <c r="I1" s="165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9" t="s">
        <v>40</v>
      </c>
      <c r="B3" s="172" t="s">
        <v>106</v>
      </c>
      <c r="C3" s="166" t="s">
        <v>107</v>
      </c>
      <c r="D3" s="166" t="s">
        <v>22</v>
      </c>
      <c r="E3" s="166" t="s">
        <v>21</v>
      </c>
      <c r="F3" s="166" t="s">
        <v>108</v>
      </c>
      <c r="G3" s="166" t="s">
        <v>109</v>
      </c>
      <c r="H3" s="166" t="s">
        <v>110</v>
      </c>
      <c r="I3" s="166" t="s">
        <v>111</v>
      </c>
    </row>
    <row r="4" spans="1:9" ht="24.75" customHeight="1">
      <c r="A4" s="170"/>
      <c r="B4" s="173"/>
      <c r="C4" s="167"/>
      <c r="D4" s="167"/>
      <c r="E4" s="167"/>
      <c r="F4" s="167"/>
      <c r="G4" s="167"/>
      <c r="H4" s="167"/>
      <c r="I4" s="167"/>
    </row>
    <row r="5" spans="1:10" ht="39" customHeight="1" thickBot="1">
      <c r="A5" s="171"/>
      <c r="B5" s="174"/>
      <c r="C5" s="168"/>
      <c r="D5" s="168"/>
      <c r="E5" s="168"/>
      <c r="F5" s="168"/>
      <c r="G5" s="168"/>
      <c r="H5" s="168"/>
      <c r="I5" s="168"/>
      <c r="J5" s="152"/>
    </row>
    <row r="6" spans="1:11" ht="18.75" thickBot="1">
      <c r="A6" s="18" t="s">
        <v>26</v>
      </c>
      <c r="B6" s="35">
        <f>68805.8+1143.1</f>
        <v>69948.90000000001</v>
      </c>
      <c r="C6" s="36">
        <f>206417.4+3429.4</f>
        <v>209846.8</v>
      </c>
      <c r="D6" s="37">
        <f>11099.2+9623.1+1.9+134.7+531.1+44.4+1464.8+43.3+356.7+16648.5+1044.7+22.2</f>
        <v>41014.6</v>
      </c>
      <c r="E6" s="3">
        <f>D6/D154*100</f>
        <v>42.17704143910312</v>
      </c>
      <c r="F6" s="3">
        <f>D6/B6*100</f>
        <v>58.63508932949624</v>
      </c>
      <c r="G6" s="3">
        <f aca="true" t="shared" si="0" ref="G6:G43">D6/C6*100</f>
        <v>19.545020462546965</v>
      </c>
      <c r="H6" s="37">
        <f>B6-D6</f>
        <v>28934.30000000001</v>
      </c>
      <c r="I6" s="37">
        <f aca="true" t="shared" si="1" ref="I6:I43">C6-D6</f>
        <v>168832.19999999998</v>
      </c>
      <c r="J6" s="153"/>
      <c r="K6" s="154"/>
    </row>
    <row r="7" spans="1:12" s="85" customFormat="1" ht="18.75">
      <c r="A7" s="128" t="s">
        <v>81</v>
      </c>
      <c r="B7" s="129">
        <f>21876.5+1143.1</f>
        <v>23019.6</v>
      </c>
      <c r="C7" s="130">
        <f>65629.4+3429.4</f>
        <v>69058.79999999999</v>
      </c>
      <c r="D7" s="131">
        <f>9623.1+1044.7</f>
        <v>10667.800000000001</v>
      </c>
      <c r="E7" s="132">
        <f>D7/D6*100</f>
        <v>26.009762377299793</v>
      </c>
      <c r="F7" s="132">
        <f>D7/B7*100</f>
        <v>46.34224747606389</v>
      </c>
      <c r="G7" s="132">
        <f>D7/C7*100</f>
        <v>15.44741582535463</v>
      </c>
      <c r="H7" s="131">
        <f>B7-D7</f>
        <v>12351.799999999997</v>
      </c>
      <c r="I7" s="131">
        <f t="shared" si="1"/>
        <v>58390.999999999985</v>
      </c>
      <c r="J7" s="148"/>
      <c r="K7" s="154"/>
      <c r="L7" s="127"/>
    </row>
    <row r="8" spans="1:12" s="152" customFormat="1" ht="18">
      <c r="A8" s="92" t="s">
        <v>3</v>
      </c>
      <c r="B8" s="114">
        <f>55274+1143.1+2.4</f>
        <v>56419.5</v>
      </c>
      <c r="C8" s="115">
        <f>161323.9+3429.4</f>
        <v>164753.3</v>
      </c>
      <c r="D8" s="94">
        <f>20722.3+1.9+16592.9+1044.7</f>
        <v>38361.8</v>
      </c>
      <c r="E8" s="96">
        <f>D8/D6*100</f>
        <v>93.53205931546329</v>
      </c>
      <c r="F8" s="96">
        <f>D8/B8*100</f>
        <v>67.99386736855166</v>
      </c>
      <c r="G8" s="96">
        <f t="shared" si="0"/>
        <v>23.284389447737926</v>
      </c>
      <c r="H8" s="94">
        <f>B8-D8</f>
        <v>18057.699999999997</v>
      </c>
      <c r="I8" s="94">
        <f t="shared" si="1"/>
        <v>126391.49999999999</v>
      </c>
      <c r="J8" s="153"/>
      <c r="K8" s="154"/>
      <c r="L8" s="127"/>
    </row>
    <row r="9" spans="1:12" s="152" customFormat="1" ht="18">
      <c r="A9" s="92" t="s">
        <v>2</v>
      </c>
      <c r="B9" s="114"/>
      <c r="C9" s="115"/>
      <c r="D9" s="94"/>
      <c r="E9" s="116">
        <f>D9/D6*100</f>
        <v>0</v>
      </c>
      <c r="F9" s="96" t="e">
        <f>D9/B9*100</f>
        <v>#DIV/0!</v>
      </c>
      <c r="G9" s="96" t="e">
        <f t="shared" si="0"/>
        <v>#DIV/0!</v>
      </c>
      <c r="H9" s="94">
        <f aca="true" t="shared" si="2" ref="H9:H43">B9-D9</f>
        <v>0</v>
      </c>
      <c r="I9" s="94">
        <f t="shared" si="1"/>
        <v>0</v>
      </c>
      <c r="J9" s="153"/>
      <c r="K9" s="154"/>
      <c r="L9" s="127"/>
    </row>
    <row r="10" spans="1:12" s="152" customFormat="1" ht="18">
      <c r="A10" s="92" t="s">
        <v>1</v>
      </c>
      <c r="B10" s="114">
        <v>4200.6</v>
      </c>
      <c r="C10" s="115">
        <f>13313.7</f>
        <v>13313.7</v>
      </c>
      <c r="D10" s="133">
        <f>525.8+44.4+601.2+43.3+356.4+55.6+22.2</f>
        <v>1648.8999999999999</v>
      </c>
      <c r="E10" s="96">
        <f>D10/D6*100</f>
        <v>4.020275706699565</v>
      </c>
      <c r="F10" s="96">
        <f aca="true" t="shared" si="3" ref="F10:F41">D10/B10*100</f>
        <v>39.25391610722277</v>
      </c>
      <c r="G10" s="96">
        <f t="shared" si="0"/>
        <v>12.384986893200235</v>
      </c>
      <c r="H10" s="94">
        <f t="shared" si="2"/>
        <v>2551.7000000000007</v>
      </c>
      <c r="I10" s="94">
        <f t="shared" si="1"/>
        <v>11664.800000000001</v>
      </c>
      <c r="J10" s="153"/>
      <c r="K10" s="154"/>
      <c r="L10" s="127"/>
    </row>
    <row r="11" spans="1:12" s="152" customFormat="1" ht="18">
      <c r="A11" s="92" t="s">
        <v>0</v>
      </c>
      <c r="B11" s="114">
        <v>8061.6</v>
      </c>
      <c r="C11" s="115">
        <v>27896.7</v>
      </c>
      <c r="D11" s="134"/>
      <c r="E11" s="96">
        <f>D11/D6*100</f>
        <v>0</v>
      </c>
      <c r="F11" s="96">
        <f t="shared" si="3"/>
        <v>0</v>
      </c>
      <c r="G11" s="96">
        <f t="shared" si="0"/>
        <v>0</v>
      </c>
      <c r="H11" s="94">
        <f t="shared" si="2"/>
        <v>8061.6</v>
      </c>
      <c r="I11" s="94">
        <f t="shared" si="1"/>
        <v>27896.7</v>
      </c>
      <c r="J11" s="153"/>
      <c r="K11" s="154"/>
      <c r="L11" s="127"/>
    </row>
    <row r="12" spans="1:12" s="152" customFormat="1" ht="18">
      <c r="A12" s="92" t="s">
        <v>14</v>
      </c>
      <c r="B12" s="114">
        <v>1047.3</v>
      </c>
      <c r="C12" s="115">
        <v>3222.6</v>
      </c>
      <c r="D12" s="94">
        <f>134.7+863.6</f>
        <v>998.3</v>
      </c>
      <c r="E12" s="96">
        <f>D12/D6*100</f>
        <v>2.434011303291998</v>
      </c>
      <c r="F12" s="96">
        <f t="shared" si="3"/>
        <v>95.32130239663897</v>
      </c>
      <c r="G12" s="96">
        <f t="shared" si="0"/>
        <v>30.978092223670327</v>
      </c>
      <c r="H12" s="94">
        <f>B12-D12</f>
        <v>49</v>
      </c>
      <c r="I12" s="94">
        <f t="shared" si="1"/>
        <v>2224.3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219.90000000000805</v>
      </c>
      <c r="C13" s="115">
        <f>C6-C8-C9-C10-C11-C12</f>
        <v>660.4999999999986</v>
      </c>
      <c r="D13" s="115">
        <f>D6-D8-D9-D10-D11-D12</f>
        <v>5.599999999995816</v>
      </c>
      <c r="E13" s="96">
        <f>D13/D6*100</f>
        <v>0.013653674545151767</v>
      </c>
      <c r="F13" s="96">
        <f t="shared" si="3"/>
        <v>2.5466120964054624</v>
      </c>
      <c r="G13" s="96">
        <f t="shared" si="0"/>
        <v>0.847842543526999</v>
      </c>
      <c r="H13" s="94">
        <f t="shared" si="2"/>
        <v>214.30000000001223</v>
      </c>
      <c r="I13" s="94">
        <f t="shared" si="1"/>
        <v>654.9000000000028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f>33979.7-1938</f>
        <v>32041.699999999997</v>
      </c>
      <c r="C18" s="36">
        <f>101939.2-5813.6</f>
        <v>96125.59999999999</v>
      </c>
      <c r="D18" s="37">
        <f>9880.4+236.6+6978.3+6921</f>
        <v>24016.3</v>
      </c>
      <c r="E18" s="3">
        <f>D18/D154*100</f>
        <v>24.69697328058624</v>
      </c>
      <c r="F18" s="3">
        <f>D18/B18*100</f>
        <v>74.95326402781376</v>
      </c>
      <c r="G18" s="3">
        <f t="shared" si="0"/>
        <v>24.984291385437388</v>
      </c>
      <c r="H18" s="37">
        <f>B18-D18</f>
        <v>8025.399999999998</v>
      </c>
      <c r="I18" s="37">
        <f t="shared" si="1"/>
        <v>72109.29999999999</v>
      </c>
      <c r="J18" s="153"/>
      <c r="K18" s="154"/>
    </row>
    <row r="19" spans="1:13" s="85" customFormat="1" ht="18.75">
      <c r="A19" s="128" t="s">
        <v>82</v>
      </c>
      <c r="B19" s="129">
        <f>18976-1938</f>
        <v>17038</v>
      </c>
      <c r="C19" s="130">
        <f>56928-5813.6</f>
        <v>51114.4</v>
      </c>
      <c r="D19" s="131">
        <f>9880.4+236.6+6921</f>
        <v>17038</v>
      </c>
      <c r="E19" s="132">
        <f>D19/D18*100</f>
        <v>70.94348421696931</v>
      </c>
      <c r="F19" s="132">
        <f t="shared" si="3"/>
        <v>100</v>
      </c>
      <c r="G19" s="132">
        <f t="shared" si="0"/>
        <v>33.33307248055342</v>
      </c>
      <c r="H19" s="131">
        <f t="shared" si="2"/>
        <v>0</v>
      </c>
      <c r="I19" s="131">
        <f t="shared" si="1"/>
        <v>34076.4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>
      <c r="A24" s="92" t="s">
        <v>14</v>
      </c>
      <c r="B24" s="114">
        <v>83.3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83.3</v>
      </c>
      <c r="I24" s="94">
        <f t="shared" si="1"/>
        <v>249.8</v>
      </c>
      <c r="J24" s="153"/>
      <c r="K24" s="154">
        <f>C24-B24</f>
        <v>166.5</v>
      </c>
    </row>
    <row r="25" spans="1:11" s="152" customFormat="1" ht="18.75" thickBot="1">
      <c r="A25" s="92" t="s">
        <v>27</v>
      </c>
      <c r="B25" s="115">
        <f>B18-B24</f>
        <v>31958.399999999998</v>
      </c>
      <c r="C25" s="115">
        <f>C18-C24</f>
        <v>95875.79999999999</v>
      </c>
      <c r="D25" s="115">
        <f>D18-D24</f>
        <v>24016.3</v>
      </c>
      <c r="E25" s="96">
        <f>D25/D18*100</f>
        <v>100</v>
      </c>
      <c r="F25" s="96">
        <f t="shared" si="3"/>
        <v>75.14863071993591</v>
      </c>
      <c r="G25" s="96">
        <f t="shared" si="0"/>
        <v>25.049386810853207</v>
      </c>
      <c r="H25" s="94">
        <f>B25-D25</f>
        <v>7942.0999999999985</v>
      </c>
      <c r="I25" s="94">
        <f t="shared" si="1"/>
        <v>71859.49999999999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v>2072.5</v>
      </c>
      <c r="C33" s="36">
        <v>6217.4</v>
      </c>
      <c r="D33" s="39">
        <f>238.4+293+43.5+2+39.3+520.9+174.4</f>
        <v>1311.5</v>
      </c>
      <c r="E33" s="3">
        <f>D33/D154*100</f>
        <v>1.3486707135357592</v>
      </c>
      <c r="F33" s="3">
        <f>D33/B33*100</f>
        <v>63.2810615199035</v>
      </c>
      <c r="G33" s="3">
        <f t="shared" si="0"/>
        <v>21.094026441921063</v>
      </c>
      <c r="H33" s="37">
        <f t="shared" si="2"/>
        <v>761</v>
      </c>
      <c r="I33" s="37">
        <f t="shared" si="1"/>
        <v>4905.9</v>
      </c>
      <c r="J33" s="153"/>
      <c r="K33" s="154"/>
    </row>
    <row r="34" spans="1:11" s="152" customFormat="1" ht="18">
      <c r="A34" s="92" t="s">
        <v>3</v>
      </c>
      <c r="B34" s="114">
        <v>1059.1</v>
      </c>
      <c r="C34" s="115">
        <v>3354.7</v>
      </c>
      <c r="D34" s="94">
        <f>95.5+254.3+520.9+145.6</f>
        <v>1016.3000000000001</v>
      </c>
      <c r="E34" s="96">
        <f>D34/D33*100</f>
        <v>77.49142203583683</v>
      </c>
      <c r="F34" s="96">
        <f t="shared" si="3"/>
        <v>95.95883297139082</v>
      </c>
      <c r="G34" s="96">
        <f t="shared" si="0"/>
        <v>30.2948102661937</v>
      </c>
      <c r="H34" s="94">
        <f t="shared" si="2"/>
        <v>42.79999999999984</v>
      </c>
      <c r="I34" s="94">
        <f t="shared" si="1"/>
        <v>2338.3999999999996</v>
      </c>
      <c r="J34" s="153"/>
      <c r="K34" s="154"/>
    </row>
    <row r="35" spans="1:11" s="152" customFormat="1" ht="18">
      <c r="A35" s="92" t="s">
        <v>1</v>
      </c>
      <c r="B35" s="114">
        <f>10+2</f>
        <v>12</v>
      </c>
      <c r="C35" s="115">
        <v>30</v>
      </c>
      <c r="D35" s="94">
        <f>10+2</f>
        <v>12</v>
      </c>
      <c r="E35" s="96">
        <f>D35/D33*100</f>
        <v>0.9149828440716736</v>
      </c>
      <c r="F35" s="96">
        <f t="shared" si="3"/>
        <v>100</v>
      </c>
      <c r="G35" s="96">
        <f t="shared" si="0"/>
        <v>40</v>
      </c>
      <c r="H35" s="94">
        <f t="shared" si="2"/>
        <v>0</v>
      </c>
      <c r="I35" s="94">
        <f t="shared" si="1"/>
        <v>18</v>
      </c>
      <c r="J35" s="153"/>
      <c r="K35" s="154"/>
    </row>
    <row r="36" spans="1:11" s="152" customFormat="1" ht="18">
      <c r="A36" s="92" t="s">
        <v>0</v>
      </c>
      <c r="B36" s="114">
        <v>166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166</v>
      </c>
      <c r="I36" s="94">
        <f t="shared" si="1"/>
        <v>484.4</v>
      </c>
      <c r="J36" s="153"/>
      <c r="K36" s="154"/>
    </row>
    <row r="37" spans="1:12" s="85" customFormat="1" ht="18.75">
      <c r="A37" s="105" t="s">
        <v>7</v>
      </c>
      <c r="B37" s="125">
        <v>84</v>
      </c>
      <c r="C37" s="126">
        <v>252</v>
      </c>
      <c r="D37" s="98">
        <f>38.7+2+2.3</f>
        <v>43</v>
      </c>
      <c r="E37" s="101">
        <f>D37/D33*100</f>
        <v>3.278688524590164</v>
      </c>
      <c r="F37" s="101">
        <f t="shared" si="3"/>
        <v>51.19047619047619</v>
      </c>
      <c r="G37" s="101">
        <f t="shared" si="0"/>
        <v>17.063492063492063</v>
      </c>
      <c r="H37" s="98">
        <f t="shared" si="2"/>
        <v>41</v>
      </c>
      <c r="I37" s="98">
        <f t="shared" si="1"/>
        <v>209</v>
      </c>
      <c r="J37" s="148"/>
      <c r="K37" s="154"/>
      <c r="L37" s="127"/>
    </row>
    <row r="38" spans="1:11" s="152" customFormat="1" ht="18">
      <c r="A38" s="92" t="s">
        <v>14</v>
      </c>
      <c r="B38" s="114">
        <v>17</v>
      </c>
      <c r="C38" s="115">
        <v>51</v>
      </c>
      <c r="D38" s="115">
        <v>5.1</v>
      </c>
      <c r="E38" s="96">
        <f>D38/D33*100</f>
        <v>0.3888677087304613</v>
      </c>
      <c r="F38" s="96">
        <f t="shared" si="3"/>
        <v>30</v>
      </c>
      <c r="G38" s="96">
        <f t="shared" si="0"/>
        <v>10</v>
      </c>
      <c r="H38" s="94">
        <f t="shared" si="2"/>
        <v>11.9</v>
      </c>
      <c r="I38" s="94">
        <f t="shared" si="1"/>
        <v>45.9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734.4000000000001</v>
      </c>
      <c r="C39" s="114">
        <f>C33-C34-C36-C37-C35-C38</f>
        <v>2045.2999999999997</v>
      </c>
      <c r="D39" s="114">
        <f>D33-D34-D36-D37-D35-D38</f>
        <v>235.09999999999994</v>
      </c>
      <c r="E39" s="96">
        <f>D39/D33*100</f>
        <v>17.92603888677087</v>
      </c>
      <c r="F39" s="96">
        <f t="shared" si="3"/>
        <v>32.012527233115456</v>
      </c>
      <c r="G39" s="96">
        <f t="shared" si="0"/>
        <v>11.494646262162028</v>
      </c>
      <c r="H39" s="94">
        <f>B39-D39</f>
        <v>499.3000000000002</v>
      </c>
      <c r="I39" s="94">
        <f t="shared" si="1"/>
        <v>1810.1999999999998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v>51.5</v>
      </c>
      <c r="C43" s="36">
        <v>154.6</v>
      </c>
      <c r="D43" s="37">
        <v>18</v>
      </c>
      <c r="E43" s="3">
        <f>D43/D154*100</f>
        <v>0.018510158477806835</v>
      </c>
      <c r="F43" s="3">
        <f>D43/B43*100</f>
        <v>34.95145631067961</v>
      </c>
      <c r="G43" s="3">
        <f t="shared" si="0"/>
        <v>11.64294954721863</v>
      </c>
      <c r="H43" s="37">
        <f t="shared" si="2"/>
        <v>33.5</v>
      </c>
      <c r="I43" s="37">
        <f t="shared" si="1"/>
        <v>136.6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v>1131.4</v>
      </c>
      <c r="C45" s="36">
        <v>3394.1</v>
      </c>
      <c r="D45" s="37">
        <f>346.4+682.6-0.1+14.1</f>
        <v>1043</v>
      </c>
      <c r="E45" s="3">
        <f>D45/D154*100</f>
        <v>1.0725608495751404</v>
      </c>
      <c r="F45" s="3">
        <f>D45/B45*100</f>
        <v>92.18667138059041</v>
      </c>
      <c r="G45" s="3">
        <f aca="true" t="shared" si="5" ref="G45:G76">D45/C45*100</f>
        <v>30.729795822161986</v>
      </c>
      <c r="H45" s="37">
        <f>B45-D45</f>
        <v>88.40000000000009</v>
      </c>
      <c r="I45" s="37">
        <f aca="true" t="shared" si="6" ref="I45:I77">C45-D45</f>
        <v>2351.1</v>
      </c>
      <c r="J45" s="153"/>
      <c r="K45" s="154"/>
    </row>
    <row r="46" spans="1:11" s="152" customFormat="1" ht="18">
      <c r="A46" s="92" t="s">
        <v>3</v>
      </c>
      <c r="B46" s="114">
        <v>985.4</v>
      </c>
      <c r="C46" s="115">
        <v>2956</v>
      </c>
      <c r="D46" s="94">
        <f>332.5+633.1+14.1</f>
        <v>979.7</v>
      </c>
      <c r="E46" s="96">
        <f>D46/D45*100</f>
        <v>93.93096836049857</v>
      </c>
      <c r="F46" s="96">
        <f aca="true" t="shared" si="7" ref="F46:F74">D46/B46*100</f>
        <v>99.42155469859955</v>
      </c>
      <c r="G46" s="96">
        <f t="shared" si="5"/>
        <v>33.14276048714479</v>
      </c>
      <c r="H46" s="94">
        <f aca="true" t="shared" si="8" ref="H46:H74">B46-D46</f>
        <v>5.699999999999932</v>
      </c>
      <c r="I46" s="94">
        <f t="shared" si="6"/>
        <v>1976.3</v>
      </c>
      <c r="J46" s="153"/>
      <c r="K46" s="154"/>
    </row>
    <row r="47" spans="1:11" s="152" customFormat="1" ht="18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3"/>
      <c r="K47" s="154"/>
    </row>
    <row r="48" spans="1:11" s="152" customFormat="1" ht="18">
      <c r="A48" s="92" t="s">
        <v>1</v>
      </c>
      <c r="B48" s="114"/>
      <c r="C48" s="115"/>
      <c r="D48" s="94"/>
      <c r="E48" s="96">
        <f>D48/D45*100</f>
        <v>0</v>
      </c>
      <c r="F48" s="96" t="e">
        <f t="shared" si="7"/>
        <v>#DIV/0!</v>
      </c>
      <c r="G48" s="96" t="e">
        <f t="shared" si="5"/>
        <v>#DIV/0!</v>
      </c>
      <c r="H48" s="94">
        <f t="shared" si="8"/>
        <v>0</v>
      </c>
      <c r="I48" s="94">
        <f t="shared" si="6"/>
        <v>0</v>
      </c>
      <c r="J48" s="153"/>
      <c r="K48" s="154"/>
    </row>
    <row r="49" spans="1:11" s="152" customFormat="1" ht="18">
      <c r="A49" s="92" t="s">
        <v>0</v>
      </c>
      <c r="B49" s="114">
        <v>135</v>
      </c>
      <c r="C49" s="115">
        <v>372.5</v>
      </c>
      <c r="D49" s="94">
        <f>13.9+43.7</f>
        <v>57.6</v>
      </c>
      <c r="E49" s="96">
        <f>D49/D45*100</f>
        <v>5.5225311601150535</v>
      </c>
      <c r="F49" s="96">
        <f t="shared" si="7"/>
        <v>42.66666666666667</v>
      </c>
      <c r="G49" s="96">
        <f t="shared" si="5"/>
        <v>15.46308724832215</v>
      </c>
      <c r="H49" s="94">
        <f t="shared" si="8"/>
        <v>77.4</v>
      </c>
      <c r="I49" s="94">
        <f t="shared" si="6"/>
        <v>314.9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11.000000000000114</v>
      </c>
      <c r="C50" s="115">
        <f>C45-C46-C49-C48-C47</f>
        <v>65.59999999999991</v>
      </c>
      <c r="D50" s="115">
        <f>D45-D46-D49-D48-D47</f>
        <v>5.699999999999953</v>
      </c>
      <c r="E50" s="96">
        <f>D50/D45*100</f>
        <v>0.5465004793863809</v>
      </c>
      <c r="F50" s="96">
        <f t="shared" si="7"/>
        <v>51.818181818180854</v>
      </c>
      <c r="G50" s="96">
        <f t="shared" si="5"/>
        <v>8.689024390243844</v>
      </c>
      <c r="H50" s="94">
        <f t="shared" si="8"/>
        <v>5.300000000000161</v>
      </c>
      <c r="I50" s="94">
        <f t="shared" si="6"/>
        <v>59.899999999999956</v>
      </c>
      <c r="J50" s="153"/>
      <c r="K50" s="154"/>
    </row>
    <row r="51" spans="1:11" ht="18.75" thickBot="1">
      <c r="A51" s="18" t="s">
        <v>4</v>
      </c>
      <c r="B51" s="35">
        <v>3166.2</v>
      </c>
      <c r="C51" s="36">
        <v>9498.7</v>
      </c>
      <c r="D51" s="37">
        <f>721.7+145.3+5+112.8+1132.7+7.6</f>
        <v>2125.1</v>
      </c>
      <c r="E51" s="3">
        <f>D51/D154*100</f>
        <v>2.185329876732628</v>
      </c>
      <c r="F51" s="3">
        <f>D51/B51*100</f>
        <v>67.11831217232013</v>
      </c>
      <c r="G51" s="3">
        <f t="shared" si="5"/>
        <v>22.372535189025864</v>
      </c>
      <c r="H51" s="37">
        <f>B51-D51</f>
        <v>1041.1</v>
      </c>
      <c r="I51" s="37">
        <f t="shared" si="6"/>
        <v>7373.6</v>
      </c>
      <c r="J51" s="153"/>
      <c r="K51" s="154"/>
    </row>
    <row r="52" spans="1:11" s="152" customFormat="1" ht="18">
      <c r="A52" s="92" t="s">
        <v>3</v>
      </c>
      <c r="B52" s="114">
        <v>1796.3</v>
      </c>
      <c r="C52" s="115">
        <v>5388.9</v>
      </c>
      <c r="D52" s="94">
        <f>721.7+980.4</f>
        <v>1702.1</v>
      </c>
      <c r="E52" s="96">
        <f>D52/D51*100</f>
        <v>80.0950543503835</v>
      </c>
      <c r="F52" s="96">
        <f t="shared" si="7"/>
        <v>94.75588710126371</v>
      </c>
      <c r="G52" s="96">
        <f t="shared" si="5"/>
        <v>31.585295700421234</v>
      </c>
      <c r="H52" s="94">
        <f t="shared" si="8"/>
        <v>94.20000000000005</v>
      </c>
      <c r="I52" s="94">
        <f t="shared" si="6"/>
        <v>3686.7999999999997</v>
      </c>
      <c r="J52" s="153"/>
      <c r="K52" s="154"/>
    </row>
    <row r="53" spans="1:11" s="152" customFormat="1" ht="18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3"/>
      <c r="K53" s="154"/>
    </row>
    <row r="54" spans="1:11" s="152" customFormat="1" ht="18">
      <c r="A54" s="92" t="s">
        <v>1</v>
      </c>
      <c r="B54" s="114">
        <v>86.4</v>
      </c>
      <c r="C54" s="115">
        <v>274.8</v>
      </c>
      <c r="D54" s="94">
        <f>3.2+7.6</f>
        <v>10.8</v>
      </c>
      <c r="E54" s="96">
        <f>D54/D51*100</f>
        <v>0.5082113782880806</v>
      </c>
      <c r="F54" s="96">
        <f t="shared" si="7"/>
        <v>12.5</v>
      </c>
      <c r="G54" s="96">
        <f t="shared" si="5"/>
        <v>3.9301310043668125</v>
      </c>
      <c r="H54" s="94">
        <f t="shared" si="8"/>
        <v>75.60000000000001</v>
      </c>
      <c r="I54" s="94">
        <f t="shared" si="6"/>
        <v>264</v>
      </c>
      <c r="J54" s="153"/>
      <c r="K54" s="154"/>
    </row>
    <row r="55" spans="1:11" s="152" customFormat="1" ht="18">
      <c r="A55" s="92" t="s">
        <v>0</v>
      </c>
      <c r="B55" s="114">
        <v>169.3</v>
      </c>
      <c r="C55" s="115">
        <v>507.8</v>
      </c>
      <c r="D55" s="94"/>
      <c r="E55" s="96">
        <f>D55/D51*100</f>
        <v>0</v>
      </c>
      <c r="F55" s="96">
        <f t="shared" si="7"/>
        <v>0</v>
      </c>
      <c r="G55" s="96">
        <f t="shared" si="5"/>
        <v>0</v>
      </c>
      <c r="H55" s="94">
        <f t="shared" si="8"/>
        <v>169.3</v>
      </c>
      <c r="I55" s="94">
        <f t="shared" si="6"/>
        <v>507.8</v>
      </c>
      <c r="J55" s="153"/>
      <c r="K55" s="154"/>
    </row>
    <row r="56" spans="1:11" s="152" customFormat="1" ht="18">
      <c r="A56" s="92" t="s">
        <v>14</v>
      </c>
      <c r="B56" s="114">
        <v>290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290</v>
      </c>
      <c r="I56" s="94">
        <f t="shared" si="6"/>
        <v>870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824.1999999999998</v>
      </c>
      <c r="C57" s="115">
        <f>C51-C52-C55-C54-C53-C56</f>
        <v>2457.2000000000007</v>
      </c>
      <c r="D57" s="115">
        <f>D51-D52-D55-D54-D53-D56</f>
        <v>412.2</v>
      </c>
      <c r="E57" s="96">
        <f>D57/D51*100</f>
        <v>19.39673427132841</v>
      </c>
      <c r="F57" s="96">
        <f t="shared" si="7"/>
        <v>50.012132977432664</v>
      </c>
      <c r="G57" s="96">
        <f t="shared" si="5"/>
        <v>16.775191274621516</v>
      </c>
      <c r="H57" s="94">
        <f>B57-D57</f>
        <v>411.99999999999983</v>
      </c>
      <c r="I57" s="94">
        <f>C57-D57</f>
        <v>2045.0000000000007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.75" thickBot="1">
      <c r="A59" s="18" t="s">
        <v>6</v>
      </c>
      <c r="B59" s="35">
        <v>746.8</v>
      </c>
      <c r="C59" s="36">
        <v>2261.1</v>
      </c>
      <c r="D59" s="37">
        <f>80.6+106+88.7</f>
        <v>275.3</v>
      </c>
      <c r="E59" s="3">
        <f>D59/D154*100</f>
        <v>0.28310259049667896</v>
      </c>
      <c r="F59" s="3">
        <f>D59/B59*100</f>
        <v>36.863952865559725</v>
      </c>
      <c r="G59" s="3">
        <f t="shared" si="5"/>
        <v>12.175489805846713</v>
      </c>
      <c r="H59" s="37">
        <f>B59-D59</f>
        <v>471.49999999999994</v>
      </c>
      <c r="I59" s="37">
        <f t="shared" si="6"/>
        <v>1985.8</v>
      </c>
      <c r="J59" s="153"/>
      <c r="K59" s="154"/>
    </row>
    <row r="60" spans="1:11" s="152" customFormat="1" ht="18">
      <c r="A60" s="92" t="s">
        <v>3</v>
      </c>
      <c r="B60" s="114">
        <v>310.2</v>
      </c>
      <c r="C60" s="115">
        <v>936.2</v>
      </c>
      <c r="D60" s="94">
        <f>80.6+106+88.7</f>
        <v>275.3</v>
      </c>
      <c r="E60" s="96">
        <f>D60/D59*100</f>
        <v>100</v>
      </c>
      <c r="F60" s="96">
        <f t="shared" si="7"/>
        <v>88.749194068343</v>
      </c>
      <c r="G60" s="96">
        <f t="shared" si="5"/>
        <v>29.406109805597097</v>
      </c>
      <c r="H60" s="94">
        <f t="shared" si="8"/>
        <v>34.89999999999998</v>
      </c>
      <c r="I60" s="94">
        <f t="shared" si="6"/>
        <v>660.9000000000001</v>
      </c>
      <c r="J60" s="153"/>
      <c r="K60" s="154"/>
    </row>
    <row r="61" spans="1:11" s="152" customFormat="1" ht="18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3"/>
      <c r="K61" s="154"/>
    </row>
    <row r="62" spans="1:11" s="152" customFormat="1" ht="18">
      <c r="A62" s="92" t="s">
        <v>0</v>
      </c>
      <c r="B62" s="114">
        <v>114.1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114.1</v>
      </c>
      <c r="I62" s="94">
        <f t="shared" si="6"/>
        <v>351.7</v>
      </c>
      <c r="J62" s="153"/>
      <c r="K62" s="154"/>
    </row>
    <row r="63" spans="1:11" s="152" customFormat="1" ht="18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322.5</v>
      </c>
      <c r="C64" s="115">
        <f>C59-C60-C62-C63-C61</f>
        <v>973.1999999999998</v>
      </c>
      <c r="D64" s="115">
        <f>D59-D60-D62-D63-D61</f>
        <v>0</v>
      </c>
      <c r="E64" s="96">
        <f>D64/D59*100</f>
        <v>0</v>
      </c>
      <c r="F64" s="96">
        <f t="shared" si="7"/>
        <v>0</v>
      </c>
      <c r="G64" s="96">
        <f t="shared" si="5"/>
        <v>0</v>
      </c>
      <c r="H64" s="94">
        <f t="shared" si="8"/>
        <v>322.5</v>
      </c>
      <c r="I64" s="94">
        <f t="shared" si="6"/>
        <v>973.1999999999998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.75" thickBot="1">
      <c r="A69" s="18" t="s">
        <v>20</v>
      </c>
      <c r="B69" s="36">
        <f>B70+B71</f>
        <v>30.700000000000003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30.700000000000003</v>
      </c>
      <c r="I69" s="37">
        <f t="shared" si="6"/>
        <v>92.1</v>
      </c>
      <c r="J69" s="153"/>
      <c r="K69" s="154"/>
    </row>
    <row r="70" spans="1:11" s="152" customFormat="1" ht="18">
      <c r="A70" s="92" t="s">
        <v>8</v>
      </c>
      <c r="B70" s="114">
        <v>18.3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18.3</v>
      </c>
      <c r="I70" s="94">
        <f t="shared" si="6"/>
        <v>54.8</v>
      </c>
      <c r="J70" s="153"/>
      <c r="K70" s="154"/>
    </row>
    <row r="71" spans="1:11" s="152" customFormat="1" ht="18.75" thickBot="1">
      <c r="A71" s="92" t="s">
        <v>9</v>
      </c>
      <c r="B71" s="114">
        <v>12.4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12.4</v>
      </c>
      <c r="I71" s="94">
        <f t="shared" si="6"/>
        <v>37.3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208.3-0.4</f>
        <v>207.9</v>
      </c>
      <c r="C77" s="50">
        <v>625</v>
      </c>
      <c r="D77" s="51"/>
      <c r="E77" s="31"/>
      <c r="F77" s="31"/>
      <c r="G77" s="31"/>
      <c r="H77" s="51">
        <f>B77-D77</f>
        <v>207.9</v>
      </c>
      <c r="I77" s="51">
        <f t="shared" si="6"/>
        <v>625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v>17247.5</v>
      </c>
      <c r="C90" s="36">
        <v>51742.5</v>
      </c>
      <c r="D90" s="37">
        <f>244+43.9+2457.4+2707.4+10.4+33.4+0.3+26.7+297+18.1+13+3+6.2+490.1+6379.1-0.1+2560.6</f>
        <v>15290.5</v>
      </c>
      <c r="E90" s="3">
        <f>D90/D154*100</f>
        <v>15.72386545582808</v>
      </c>
      <c r="F90" s="3">
        <f aca="true" t="shared" si="11" ref="F90:F96">D90/B90*100</f>
        <v>88.65342803304827</v>
      </c>
      <c r="G90" s="3">
        <f t="shared" si="9"/>
        <v>29.55114267768276</v>
      </c>
      <c r="H90" s="37">
        <f aca="true" t="shared" si="12" ref="H90:H96">B90-D90</f>
        <v>1957</v>
      </c>
      <c r="I90" s="37">
        <f t="shared" si="10"/>
        <v>36452</v>
      </c>
      <c r="J90" s="153"/>
      <c r="K90" s="154"/>
    </row>
    <row r="91" spans="1:11" s="152" customFormat="1" ht="21.75" customHeight="1">
      <c r="A91" s="92" t="s">
        <v>3</v>
      </c>
      <c r="B91" s="114">
        <v>16238</v>
      </c>
      <c r="C91" s="115">
        <v>48629.1</v>
      </c>
      <c r="D91" s="151">
        <f>244+2447.7+2707.4+7.9+32.8+292+16+4.4+487.2+6367.9-0.1+2554.5</f>
        <v>15161.699999999999</v>
      </c>
      <c r="E91" s="96">
        <f>D91/D90*100</f>
        <v>99.15764690494096</v>
      </c>
      <c r="F91" s="96">
        <f t="shared" si="11"/>
        <v>93.3717206552531</v>
      </c>
      <c r="G91" s="96">
        <f t="shared" si="9"/>
        <v>31.17824512483266</v>
      </c>
      <c r="H91" s="94">
        <f t="shared" si="12"/>
        <v>1076.300000000001</v>
      </c>
      <c r="I91" s="94">
        <f t="shared" si="10"/>
        <v>33467.4</v>
      </c>
      <c r="K91" s="154"/>
    </row>
    <row r="92" spans="1:11" s="152" customFormat="1" ht="18">
      <c r="A92" s="92" t="s">
        <v>25</v>
      </c>
      <c r="B92" s="114">
        <f>401.6+10.6</f>
        <v>412.20000000000005</v>
      </c>
      <c r="C92" s="115">
        <v>1178</v>
      </c>
      <c r="D92" s="94"/>
      <c r="E92" s="96">
        <f>D92/D90*100</f>
        <v>0</v>
      </c>
      <c r="F92" s="96">
        <f t="shared" si="11"/>
        <v>0</v>
      </c>
      <c r="G92" s="96">
        <f t="shared" si="9"/>
        <v>0</v>
      </c>
      <c r="H92" s="94">
        <f t="shared" si="12"/>
        <v>412.20000000000005</v>
      </c>
      <c r="I92" s="94">
        <f t="shared" si="10"/>
        <v>1178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.75" thickBot="1">
      <c r="A94" s="92" t="s">
        <v>27</v>
      </c>
      <c r="B94" s="115">
        <f>B90-B91-B92-B93</f>
        <v>597.3</v>
      </c>
      <c r="C94" s="115">
        <f>C90-C91-C92-C93</f>
        <v>1935.4000000000015</v>
      </c>
      <c r="D94" s="115">
        <f>D90-D91-D92-D93</f>
        <v>128.8000000000011</v>
      </c>
      <c r="E94" s="96">
        <f>D94/D90*100</f>
        <v>0.8423530950590307</v>
      </c>
      <c r="F94" s="96">
        <f t="shared" si="11"/>
        <v>21.56370333165932</v>
      </c>
      <c r="G94" s="96">
        <f>D94/C94*100</f>
        <v>6.654955048052133</v>
      </c>
      <c r="H94" s="94">
        <f t="shared" si="12"/>
        <v>468.49999999999886</v>
      </c>
      <c r="I94" s="94">
        <f>C94-D94</f>
        <v>1806.6000000000004</v>
      </c>
      <c r="K94" s="154"/>
    </row>
    <row r="95" spans="1:11" ht="18.75">
      <c r="A95" s="76" t="s">
        <v>12</v>
      </c>
      <c r="B95" s="84">
        <f>5598.5-194.4</f>
        <v>5404.1</v>
      </c>
      <c r="C95" s="79">
        <v>16795.4</v>
      </c>
      <c r="D95" s="78">
        <f>550.6+16+384.3+525.5+369.8</f>
        <v>1846.2</v>
      </c>
      <c r="E95" s="75">
        <f>D95/D154*100</f>
        <v>1.898525254540388</v>
      </c>
      <c r="F95" s="77">
        <f t="shared" si="11"/>
        <v>34.16295035251013</v>
      </c>
      <c r="G95" s="74">
        <f>D95/C95*100</f>
        <v>10.99229550948474</v>
      </c>
      <c r="H95" s="78">
        <f t="shared" si="12"/>
        <v>3557.9000000000005</v>
      </c>
      <c r="I95" s="80">
        <f>C95-D95</f>
        <v>14949.2</v>
      </c>
      <c r="J95" s="153"/>
      <c r="K95" s="154"/>
    </row>
    <row r="96" spans="1:11" s="152" customFormat="1" ht="18.75" thickBot="1">
      <c r="A96" s="117" t="s">
        <v>83</v>
      </c>
      <c r="B96" s="118">
        <v>1290</v>
      </c>
      <c r="C96" s="119">
        <v>3870</v>
      </c>
      <c r="D96" s="120">
        <v>101</v>
      </c>
      <c r="E96" s="121">
        <f>D96/D95*100</f>
        <v>5.470696565919185</v>
      </c>
      <c r="F96" s="122">
        <f t="shared" si="11"/>
        <v>7.829457364341086</v>
      </c>
      <c r="G96" s="123">
        <f>D96/C96*100</f>
        <v>2.6098191214470283</v>
      </c>
      <c r="H96" s="124">
        <f t="shared" si="12"/>
        <v>1189</v>
      </c>
      <c r="I96" s="113">
        <f>C96-D96</f>
        <v>3769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9.5" thickBot="1">
      <c r="A102" s="11" t="s">
        <v>11</v>
      </c>
      <c r="B102" s="83">
        <v>4773.3</v>
      </c>
      <c r="C102" s="66">
        <v>14299.2</v>
      </c>
      <c r="D102" s="62">
        <f>152.2+12.4+164.7+14+1585.4+13.1</f>
        <v>1941.8</v>
      </c>
      <c r="E102" s="16">
        <f>D102/D154*100</f>
        <v>1.9968347629002952</v>
      </c>
      <c r="F102" s="16">
        <f>D102/B102*100</f>
        <v>40.680451679131835</v>
      </c>
      <c r="G102" s="16">
        <f aca="true" t="shared" si="14" ref="G102:G152">D102/C102*100</f>
        <v>13.579780687031443</v>
      </c>
      <c r="H102" s="62">
        <f aca="true" t="shared" si="15" ref="H102:H108">B102-D102</f>
        <v>2831.5</v>
      </c>
      <c r="I102" s="62">
        <f aca="true" t="shared" si="16" ref="I102:I152">C102-D102</f>
        <v>12357.400000000001</v>
      </c>
      <c r="J102" s="148"/>
      <c r="K102" s="154"/>
    </row>
    <row r="103" spans="1:11" s="152" customFormat="1" ht="18.75" customHeight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3"/>
      <c r="K103" s="154"/>
    </row>
    <row r="104" spans="1:11" s="152" customFormat="1" ht="18">
      <c r="A104" s="109" t="s">
        <v>48</v>
      </c>
      <c r="B104" s="93">
        <v>4666.7</v>
      </c>
      <c r="C104" s="94">
        <v>13985.3</v>
      </c>
      <c r="D104" s="94">
        <f>152.1+12.4+164.7+14+1585.4+8</f>
        <v>1936.6000000000001</v>
      </c>
      <c r="E104" s="96">
        <f>D104/D102*100</f>
        <v>99.7322072304048</v>
      </c>
      <c r="F104" s="96">
        <f aca="true" t="shared" si="17" ref="F104:F152">D104/B104*100</f>
        <v>41.49827501232134</v>
      </c>
      <c r="G104" s="96">
        <f t="shared" si="14"/>
        <v>13.847396909612236</v>
      </c>
      <c r="H104" s="94">
        <f t="shared" si="15"/>
        <v>2730.0999999999995</v>
      </c>
      <c r="I104" s="94">
        <f t="shared" si="16"/>
        <v>12048.699999999999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106.60000000000036</v>
      </c>
      <c r="C106" s="111">
        <f>C102-C103-C104</f>
        <v>313.90000000000146</v>
      </c>
      <c r="D106" s="111">
        <f>D102-D103-D104</f>
        <v>5.199999999999818</v>
      </c>
      <c r="E106" s="112">
        <f>D106/D102*100</f>
        <v>0.26779276959521153</v>
      </c>
      <c r="F106" s="112">
        <f t="shared" si="17"/>
        <v>4.878048780487617</v>
      </c>
      <c r="G106" s="112">
        <f t="shared" si="14"/>
        <v>1.6565785281936265</v>
      </c>
      <c r="H106" s="113">
        <f t="shared" si="15"/>
        <v>101.40000000000055</v>
      </c>
      <c r="I106" s="113">
        <f t="shared" si="16"/>
        <v>308.70000000000164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25926</v>
      </c>
      <c r="C107" s="64">
        <f>SUM(C108:C151)-C115-C120+C152-C142-C143-C109-C112-C123-C124-C140-C133-C131-C138-C118</f>
        <v>58380.9</v>
      </c>
      <c r="D107" s="64">
        <f>SUM(D108:D151)-D115-D120+D152-D142-D143-D109-D112-D123-D124-D140-D133-D131-D138-D118</f>
        <v>8361.599999999999</v>
      </c>
      <c r="E107" s="65">
        <f>D107/D154*100</f>
        <v>8.598585618223867</v>
      </c>
      <c r="F107" s="65">
        <f>D107/B107*100</f>
        <v>32.251793566304094</v>
      </c>
      <c r="G107" s="65">
        <f t="shared" si="14"/>
        <v>14.32249245900628</v>
      </c>
      <c r="H107" s="64">
        <f t="shared" si="15"/>
        <v>17564.4</v>
      </c>
      <c r="I107" s="64">
        <f t="shared" si="16"/>
        <v>50019.3</v>
      </c>
      <c r="J107" s="145"/>
      <c r="K107" s="154"/>
      <c r="L107" s="86"/>
    </row>
    <row r="108" spans="1:12" s="152" customFormat="1" ht="37.5">
      <c r="A108" s="87" t="s">
        <v>52</v>
      </c>
      <c r="B108" s="142">
        <v>371.6</v>
      </c>
      <c r="C108" s="139">
        <v>1114.7</v>
      </c>
      <c r="D108" s="88">
        <v>1.8</v>
      </c>
      <c r="E108" s="89">
        <f>D108/D107*100</f>
        <v>0.021526980482204368</v>
      </c>
      <c r="F108" s="89">
        <f t="shared" si="17"/>
        <v>0.48439181916038754</v>
      </c>
      <c r="G108" s="89">
        <f t="shared" si="14"/>
        <v>0.16147842468825693</v>
      </c>
      <c r="H108" s="90">
        <f t="shared" si="15"/>
        <v>369.8</v>
      </c>
      <c r="I108" s="90">
        <f t="shared" si="16"/>
        <v>1112.9</v>
      </c>
      <c r="K108" s="154"/>
      <c r="L108" s="91"/>
    </row>
    <row r="109" spans="1:12" s="152" customFormat="1" ht="18.75">
      <c r="A109" s="92" t="s">
        <v>25</v>
      </c>
      <c r="B109" s="93">
        <v>233.5</v>
      </c>
      <c r="C109" s="94">
        <v>700.5</v>
      </c>
      <c r="D109" s="95"/>
      <c r="E109" s="96">
        <f>D109/D108*100</f>
        <v>0</v>
      </c>
      <c r="F109" s="96">
        <f t="shared" si="17"/>
        <v>0</v>
      </c>
      <c r="G109" s="96">
        <f t="shared" si="14"/>
        <v>0</v>
      </c>
      <c r="H109" s="94">
        <f aca="true" t="shared" si="18" ref="H109:H152">B109-D109</f>
        <v>233.5</v>
      </c>
      <c r="I109" s="94">
        <f t="shared" si="16"/>
        <v>700.5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 hidden="1">
      <c r="A111" s="97" t="s">
        <v>93</v>
      </c>
      <c r="B111" s="143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4"/>
      <c r="L111" s="91"/>
    </row>
    <row r="112" spans="1:12" s="152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8.75" customHeight="1" hidden="1">
      <c r="A113" s="97" t="s">
        <v>89</v>
      </c>
      <c r="B113" s="143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4"/>
      <c r="L113" s="91"/>
    </row>
    <row r="114" spans="1:12" s="152" customFormat="1" ht="37.5">
      <c r="A114" s="97" t="s">
        <v>38</v>
      </c>
      <c r="B114" s="143">
        <v>271.8</v>
      </c>
      <c r="C114" s="90">
        <v>815.5</v>
      </c>
      <c r="D114" s="88">
        <v>187.7</v>
      </c>
      <c r="E114" s="89">
        <f>D114/D107*100</f>
        <v>2.244785686949866</v>
      </c>
      <c r="F114" s="89">
        <f t="shared" si="17"/>
        <v>69.05813097866077</v>
      </c>
      <c r="G114" s="89">
        <f t="shared" si="14"/>
        <v>23.016554261189455</v>
      </c>
      <c r="H114" s="90">
        <f t="shared" si="18"/>
        <v>84.10000000000002</v>
      </c>
      <c r="I114" s="90">
        <f t="shared" si="16"/>
        <v>627.8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7.5" hidden="1">
      <c r="A117" s="97" t="s">
        <v>47</v>
      </c>
      <c r="B117" s="143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4"/>
      <c r="L117" s="91"/>
    </row>
    <row r="118" spans="1:12" s="152" customFormat="1" ht="18.75" hidden="1">
      <c r="A118" s="100" t="s">
        <v>88</v>
      </c>
      <c r="B118" s="150"/>
      <c r="C118" s="151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v>40.9</v>
      </c>
      <c r="C119" s="98">
        <v>122.9</v>
      </c>
      <c r="D119" s="88"/>
      <c r="E119" s="89">
        <f>D119/D107*100</f>
        <v>0</v>
      </c>
      <c r="F119" s="89">
        <f t="shared" si="17"/>
        <v>0</v>
      </c>
      <c r="G119" s="89">
        <f t="shared" si="14"/>
        <v>0</v>
      </c>
      <c r="H119" s="90">
        <f t="shared" si="18"/>
        <v>40.9</v>
      </c>
      <c r="I119" s="90">
        <f t="shared" si="16"/>
        <v>122.9</v>
      </c>
      <c r="K119" s="154"/>
      <c r="L119" s="91"/>
    </row>
    <row r="120" spans="1:12" s="103" customFormat="1" ht="18.75">
      <c r="A120" s="100" t="s">
        <v>43</v>
      </c>
      <c r="B120" s="93">
        <v>40.7</v>
      </c>
      <c r="C120" s="94">
        <v>122.1</v>
      </c>
      <c r="D120" s="95"/>
      <c r="E120" s="96" t="e">
        <f>D120/D119*100</f>
        <v>#DIV/0!</v>
      </c>
      <c r="F120" s="96">
        <f t="shared" si="17"/>
        <v>0</v>
      </c>
      <c r="G120" s="96">
        <f t="shared" si="14"/>
        <v>0</v>
      </c>
      <c r="H120" s="94">
        <f t="shared" si="18"/>
        <v>40.7</v>
      </c>
      <c r="I120" s="94">
        <f t="shared" si="16"/>
        <v>122.1</v>
      </c>
      <c r="K120" s="154"/>
      <c r="L120" s="91"/>
    </row>
    <row r="121" spans="1:12" s="102" customFormat="1" ht="18.75">
      <c r="A121" s="97" t="s">
        <v>105</v>
      </c>
      <c r="B121" s="143">
        <v>17.2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17.2</v>
      </c>
      <c r="I121" s="90">
        <f t="shared" si="16"/>
        <v>51.5</v>
      </c>
      <c r="K121" s="154"/>
      <c r="L121" s="91"/>
    </row>
    <row r="122" spans="1:13" s="102" customFormat="1" ht="21.75" customHeight="1" hidden="1">
      <c r="A122" s="97" t="s">
        <v>94</v>
      </c>
      <c r="B122" s="143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5"/>
      <c r="K122" s="154">
        <f>H108+H111+H113+H114+H117+H119+H121+H126+H127+H128+H130+H132+H136+H137+H139+H69</f>
        <v>904.1</v>
      </c>
      <c r="L122" s="154">
        <f>I108+I111+I113+I114+I117+I119+I121+I126+I127+I128+I130+I132+I136+I137+I139+I69</f>
        <v>3106.6000000000004</v>
      </c>
      <c r="M122" s="154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7.5">
      <c r="A125" s="97" t="s">
        <v>95</v>
      </c>
      <c r="B125" s="143">
        <f>1087.6+194.4</f>
        <v>1282</v>
      </c>
      <c r="C125" s="98">
        <v>3262.8</v>
      </c>
      <c r="D125" s="99">
        <f>871.9+408.1</f>
        <v>1280</v>
      </c>
      <c r="E125" s="101">
        <f>D125/D107*100</f>
        <v>15.308075009567549</v>
      </c>
      <c r="F125" s="89">
        <f t="shared" si="17"/>
        <v>99.84399375975039</v>
      </c>
      <c r="G125" s="89">
        <f t="shared" si="14"/>
        <v>39.230109108740955</v>
      </c>
      <c r="H125" s="90">
        <f t="shared" si="18"/>
        <v>2</v>
      </c>
      <c r="I125" s="90">
        <f t="shared" si="16"/>
        <v>1982.8000000000002</v>
      </c>
      <c r="K125" s="154"/>
      <c r="L125" s="91"/>
    </row>
    <row r="126" spans="1:12" s="102" customFormat="1" ht="18.75" hidden="1">
      <c r="A126" s="97" t="s">
        <v>91</v>
      </c>
      <c r="B126" s="143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4"/>
      <c r="L126" s="91"/>
    </row>
    <row r="127" spans="1:17" s="102" customFormat="1" ht="37.5">
      <c r="A127" s="97" t="s">
        <v>100</v>
      </c>
      <c r="B127" s="143">
        <v>37.5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37.5</v>
      </c>
      <c r="I127" s="90">
        <f t="shared" si="16"/>
        <v>112.5</v>
      </c>
      <c r="K127" s="154"/>
      <c r="L127" s="91"/>
      <c r="Q127" s="91"/>
    </row>
    <row r="128" spans="1:17" s="102" customFormat="1" ht="37.5">
      <c r="A128" s="97" t="s">
        <v>85</v>
      </c>
      <c r="B128" s="143">
        <v>9.3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9.3</v>
      </c>
      <c r="I128" s="90">
        <f t="shared" si="16"/>
        <v>27.7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7" s="102" customFormat="1" ht="37.5">
      <c r="A130" s="97" t="s">
        <v>57</v>
      </c>
      <c r="B130" s="143">
        <v>78.5</v>
      </c>
      <c r="C130" s="98">
        <v>235.5</v>
      </c>
      <c r="D130" s="99">
        <v>7.7</v>
      </c>
      <c r="E130" s="101">
        <f>D130/D107*100</f>
        <v>0.0920876387294298</v>
      </c>
      <c r="F130" s="89">
        <f t="shared" si="17"/>
        <v>9.80891719745223</v>
      </c>
      <c r="G130" s="89">
        <f t="shared" si="14"/>
        <v>3.26963906581741</v>
      </c>
      <c r="H130" s="90">
        <f t="shared" si="18"/>
        <v>70.8</v>
      </c>
      <c r="I130" s="90">
        <f t="shared" si="16"/>
        <v>227.8</v>
      </c>
      <c r="K130" s="154"/>
      <c r="L130" s="91"/>
      <c r="Q130" s="91"/>
    </row>
    <row r="131" spans="1:17" s="103" customFormat="1" ht="18.75">
      <c r="A131" s="92" t="s">
        <v>88</v>
      </c>
      <c r="B131" s="93">
        <v>8</v>
      </c>
      <c r="C131" s="94">
        <v>23.9</v>
      </c>
      <c r="D131" s="95">
        <v>7.7</v>
      </c>
      <c r="E131" s="96">
        <f>D131/D130*100</f>
        <v>100</v>
      </c>
      <c r="F131" s="96">
        <f>D131/B131*100</f>
        <v>96.25</v>
      </c>
      <c r="G131" s="96">
        <f t="shared" si="14"/>
        <v>32.21757322175732</v>
      </c>
      <c r="H131" s="94">
        <f t="shared" si="18"/>
        <v>0.2999999999999998</v>
      </c>
      <c r="I131" s="94">
        <f t="shared" si="16"/>
        <v>16.2</v>
      </c>
      <c r="K131" s="154"/>
      <c r="L131" s="91"/>
      <c r="Q131" s="135"/>
    </row>
    <row r="132" spans="1:12" s="102" customFormat="1" ht="37.5">
      <c r="A132" s="97" t="s">
        <v>103</v>
      </c>
      <c r="B132" s="143">
        <v>40.4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40.4</v>
      </c>
      <c r="I132" s="90">
        <f t="shared" si="16"/>
        <v>121.2</v>
      </c>
      <c r="K132" s="154"/>
      <c r="L132" s="91"/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v>123.6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123.6</v>
      </c>
      <c r="I136" s="90">
        <f t="shared" si="16"/>
        <v>370.8</v>
      </c>
      <c r="K136" s="154"/>
      <c r="L136" s="91"/>
    </row>
    <row r="137" spans="1:12" s="102" customFormat="1" ht="39" customHeight="1">
      <c r="A137" s="97" t="s">
        <v>54</v>
      </c>
      <c r="B137" s="143">
        <v>29.2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29.2</v>
      </c>
      <c r="I137" s="90">
        <f t="shared" si="16"/>
        <v>87.5</v>
      </c>
      <c r="K137" s="154"/>
      <c r="L137" s="91"/>
    </row>
    <row r="138" spans="1:12" s="103" customFormat="1" ht="18.75">
      <c r="A138" s="92" t="s">
        <v>88</v>
      </c>
      <c r="B138" s="93">
        <v>9.1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9.1</v>
      </c>
      <c r="I138" s="94">
        <f>C138-D138</f>
        <v>27.5</v>
      </c>
      <c r="K138" s="154"/>
      <c r="L138" s="91"/>
    </row>
    <row r="139" spans="1:12" s="102" customFormat="1" ht="32.25" customHeight="1">
      <c r="A139" s="97" t="s">
        <v>84</v>
      </c>
      <c r="B139" s="143">
        <v>50.6</v>
      </c>
      <c r="C139" s="98">
        <v>151.9</v>
      </c>
      <c r="D139" s="99"/>
      <c r="E139" s="101">
        <f>D139/D107*100</f>
        <v>0</v>
      </c>
      <c r="F139" s="89">
        <f>D139/B139*100</f>
        <v>0</v>
      </c>
      <c r="G139" s="89">
        <f>D139/C139*100</f>
        <v>0</v>
      </c>
      <c r="H139" s="90">
        <f t="shared" si="18"/>
        <v>50.6</v>
      </c>
      <c r="I139" s="90">
        <f t="shared" si="16"/>
        <v>151.9</v>
      </c>
      <c r="K139" s="154"/>
      <c r="L139" s="91"/>
    </row>
    <row r="140" spans="1:12" s="103" customFormat="1" ht="18.75">
      <c r="A140" s="92" t="s">
        <v>25</v>
      </c>
      <c r="B140" s="93">
        <v>49.6</v>
      </c>
      <c r="C140" s="94">
        <v>147.9</v>
      </c>
      <c r="D140" s="95"/>
      <c r="E140" s="96" t="e">
        <f>D140/D139*100</f>
        <v>#DIV/0!</v>
      </c>
      <c r="F140" s="96">
        <f t="shared" si="17"/>
        <v>0</v>
      </c>
      <c r="G140" s="96">
        <f>D140/C140*100</f>
        <v>0</v>
      </c>
      <c r="H140" s="94">
        <f t="shared" si="18"/>
        <v>49.6</v>
      </c>
      <c r="I140" s="94">
        <f t="shared" si="16"/>
        <v>147.9</v>
      </c>
      <c r="K140" s="154"/>
      <c r="L140" s="91"/>
    </row>
    <row r="141" spans="1:12" s="102" customFormat="1" ht="18.75">
      <c r="A141" s="97" t="s">
        <v>96</v>
      </c>
      <c r="B141" s="143">
        <v>146.7</v>
      </c>
      <c r="C141" s="98">
        <v>440</v>
      </c>
      <c r="D141" s="99">
        <f>33.6+100.1</f>
        <v>133.7</v>
      </c>
      <c r="E141" s="101">
        <f>D141/D107*100</f>
        <v>1.5989762724837355</v>
      </c>
      <c r="F141" s="89">
        <f t="shared" si="17"/>
        <v>91.13837764144512</v>
      </c>
      <c r="G141" s="89">
        <f t="shared" si="14"/>
        <v>30.386363636363633</v>
      </c>
      <c r="H141" s="90">
        <f t="shared" si="18"/>
        <v>13</v>
      </c>
      <c r="I141" s="90">
        <f t="shared" si="16"/>
        <v>306.3</v>
      </c>
      <c r="J141" s="145"/>
      <c r="K141" s="154"/>
      <c r="L141" s="91"/>
    </row>
    <row r="142" spans="1:12" s="103" customFormat="1" ht="18.75">
      <c r="A142" s="100" t="s">
        <v>43</v>
      </c>
      <c r="B142" s="93">
        <v>134.5</v>
      </c>
      <c r="C142" s="94">
        <v>402.6</v>
      </c>
      <c r="D142" s="95">
        <f>33.6+99.1</f>
        <v>132.7</v>
      </c>
      <c r="E142" s="96">
        <f>D142/D141*100</f>
        <v>99.25205684367988</v>
      </c>
      <c r="F142" s="96">
        <f aca="true" t="shared" si="19" ref="F142:F151">D142/B142*100</f>
        <v>98.66171003717471</v>
      </c>
      <c r="G142" s="96">
        <f t="shared" si="14"/>
        <v>32.96075509190263</v>
      </c>
      <c r="H142" s="94">
        <f t="shared" si="18"/>
        <v>1.8000000000000114</v>
      </c>
      <c r="I142" s="94">
        <f t="shared" si="16"/>
        <v>269.90000000000003</v>
      </c>
      <c r="J142" s="146"/>
      <c r="K142" s="154"/>
      <c r="L142" s="91">
        <f>B108+B111+B114+B117+B119+B126+B127+B128+B130+B136+B71+B132+B137+B121+B113+B139+B70</f>
        <v>1101.3</v>
      </c>
    </row>
    <row r="143" spans="1:13" s="103" customFormat="1" ht="18.75">
      <c r="A143" s="92" t="s">
        <v>25</v>
      </c>
      <c r="B143" s="93">
        <v>9.1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9.1</v>
      </c>
      <c r="I143" s="94">
        <f t="shared" si="16"/>
        <v>24.1</v>
      </c>
      <c r="J143" s="146"/>
      <c r="K143" s="154"/>
      <c r="L143" s="91"/>
      <c r="M143" s="135"/>
    </row>
    <row r="144" spans="1:12" s="102" customFormat="1" ht="33.75" customHeight="1" hidden="1">
      <c r="A144" s="105" t="s">
        <v>56</v>
      </c>
      <c r="B144" s="143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v>8064.3</v>
      </c>
      <c r="C146" s="98">
        <v>24193</v>
      </c>
      <c r="D146" s="99">
        <f>457.7+20.2+2395.4+103.8</f>
        <v>2977.1000000000004</v>
      </c>
      <c r="E146" s="101">
        <f>D146/D107*100</f>
        <v>35.604429774205904</v>
      </c>
      <c r="F146" s="89">
        <f t="shared" si="19"/>
        <v>36.91702937638729</v>
      </c>
      <c r="G146" s="89">
        <f t="shared" si="14"/>
        <v>12.305625594180135</v>
      </c>
      <c r="H146" s="90">
        <f t="shared" si="18"/>
        <v>5087.2</v>
      </c>
      <c r="I146" s="90">
        <f t="shared" si="16"/>
        <v>21215.9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 t="e">
        <f>D148/D109*100</f>
        <v>#DIV/0!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5"/>
      <c r="K149" s="154"/>
      <c r="L149" s="91"/>
    </row>
    <row r="150" spans="1:12" s="102" customFormat="1" ht="18" customHeight="1" hidden="1">
      <c r="A150" s="97" t="s">
        <v>77</v>
      </c>
      <c r="B150" s="143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v>9702</v>
      </c>
      <c r="C151" s="98">
        <v>10263.9</v>
      </c>
      <c r="D151" s="99"/>
      <c r="E151" s="101">
        <f>D151/D107*100</f>
        <v>0</v>
      </c>
      <c r="F151" s="89">
        <f t="shared" si="19"/>
        <v>0</v>
      </c>
      <c r="G151" s="89">
        <f t="shared" si="14"/>
        <v>0</v>
      </c>
      <c r="H151" s="90">
        <f t="shared" si="18"/>
        <v>9702</v>
      </c>
      <c r="I151" s="90">
        <f>C151-D151</f>
        <v>10263.9</v>
      </c>
      <c r="K151" s="154"/>
      <c r="L151" s="91"/>
    </row>
    <row r="152" spans="1:12" s="102" customFormat="1" ht="18.75">
      <c r="A152" s="97" t="s">
        <v>99</v>
      </c>
      <c r="B152" s="143">
        <f>3519.3+2140.7+0.4</f>
        <v>5660.4</v>
      </c>
      <c r="C152" s="98">
        <f>10558+6422</f>
        <v>16980</v>
      </c>
      <c r="D152" s="99">
        <f>1886.8+1886.8</f>
        <v>3773.6</v>
      </c>
      <c r="E152" s="101">
        <f>D152/D107*100</f>
        <v>45.130118637581326</v>
      </c>
      <c r="F152" s="89">
        <f t="shared" si="17"/>
        <v>66.66666666666667</v>
      </c>
      <c r="G152" s="89">
        <f t="shared" si="14"/>
        <v>22.223792697290932</v>
      </c>
      <c r="H152" s="90">
        <f t="shared" si="18"/>
        <v>1886.7999999999997</v>
      </c>
      <c r="I152" s="90">
        <f t="shared" si="16"/>
        <v>13206.4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10321.399999999998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162748.5</v>
      </c>
      <c r="C154" s="37">
        <f>C6+C18+C33+C43+C51+C59+C69+C72+C77+C79+C87+C90+C95+C102+C107+C100+C84+C98+C45</f>
        <v>469433.39999999997</v>
      </c>
      <c r="D154" s="37">
        <f>D6+D18+D33+D43+D51+D59+D69+D72+D77+D79+D87+D90+D95+D102+D107+D100+D84+D98+D45</f>
        <v>97243.9</v>
      </c>
      <c r="E154" s="25">
        <v>100</v>
      </c>
      <c r="F154" s="3">
        <f>D154/B154*100</f>
        <v>59.751026891184864</v>
      </c>
      <c r="G154" s="3">
        <f aca="true" t="shared" si="20" ref="G154:G160">D154/C154*100</f>
        <v>20.71516428102474</v>
      </c>
      <c r="H154" s="37">
        <f>B154-D154</f>
        <v>65504.600000000006</v>
      </c>
      <c r="I154" s="37">
        <f aca="true" t="shared" si="21" ref="I154:I160">C154-D154</f>
        <v>372189.5</v>
      </c>
      <c r="K154" s="136">
        <f>D154</f>
        <v>97243.9</v>
      </c>
      <c r="L154" s="158"/>
    </row>
    <row r="155" spans="1:12" ht="18.75">
      <c r="A155" s="15" t="s">
        <v>5</v>
      </c>
      <c r="B155" s="48">
        <f>B8+B20+B34+B52+B60+B91+B115+B120+B46+B142+B133+B103</f>
        <v>76983.7</v>
      </c>
      <c r="C155" s="48">
        <f>C8+C20+C34+C52+C60+C91+C115+C120+C46+C142+C133+C103</f>
        <v>226542.90000000002</v>
      </c>
      <c r="D155" s="48">
        <f>D8+D20+D34+D52+D60+D91+D115+D120+D46+D142+D133+D103</f>
        <v>57629.6</v>
      </c>
      <c r="E155" s="6">
        <f>D155/D154*100</f>
        <v>59.26294605625648</v>
      </c>
      <c r="F155" s="6">
        <f aca="true" t="shared" si="22" ref="F155:F160">D155/B155*100</f>
        <v>74.85948324125756</v>
      </c>
      <c r="G155" s="6">
        <f t="shared" si="20"/>
        <v>25.438713815352408</v>
      </c>
      <c r="H155" s="49">
        <f aca="true" t="shared" si="23" ref="H155:H160">B155-D155</f>
        <v>19354.1</v>
      </c>
      <c r="I155" s="59">
        <f t="shared" si="21"/>
        <v>168913.30000000002</v>
      </c>
      <c r="K155" s="154"/>
      <c r="L155" s="158"/>
    </row>
    <row r="156" spans="1:12" ht="18.75">
      <c r="A156" s="15" t="s">
        <v>0</v>
      </c>
      <c r="B156" s="163">
        <f>B11+B23+B36+B55+B62+B92+B49+B143+B109+B112+B96+B140+B129</f>
        <v>10640.400000000001</v>
      </c>
      <c r="C156" s="163">
        <f>C11+C23+C36+C55+C62+C92+C49+C143+C109+C112+C96+C140+C129</f>
        <v>35533.6</v>
      </c>
      <c r="D156" s="163">
        <f>D11+D23+D36+D55+D62+D92+D49+D143+D109+D112+D96+D140+D129</f>
        <v>158.6</v>
      </c>
      <c r="E156" s="6">
        <f>D156/D154*100</f>
        <v>0.16309506303223134</v>
      </c>
      <c r="F156" s="6">
        <f t="shared" si="22"/>
        <v>1.4905454682154804</v>
      </c>
      <c r="G156" s="6">
        <f t="shared" si="20"/>
        <v>0.4463381137852624</v>
      </c>
      <c r="H156" s="49">
        <f>B156-D156</f>
        <v>10481.800000000001</v>
      </c>
      <c r="I156" s="59">
        <f t="shared" si="21"/>
        <v>35375</v>
      </c>
      <c r="K156" s="154"/>
      <c r="L156" s="159"/>
    </row>
    <row r="157" spans="1:12" ht="18.75">
      <c r="A157" s="15" t="s">
        <v>1</v>
      </c>
      <c r="B157" s="164">
        <f>B22+B10+B54+B48+B61+B35+B124</f>
        <v>4299</v>
      </c>
      <c r="C157" s="164">
        <f>C22+C10+C54+C48+C61+C35+C124</f>
        <v>13618.5</v>
      </c>
      <c r="D157" s="164">
        <f>D22+D10+D54+D48+D61+D35+D124</f>
        <v>1671.6999999999998</v>
      </c>
      <c r="E157" s="6">
        <f>D157/D154*100</f>
        <v>1.7190795515194268</v>
      </c>
      <c r="F157" s="6">
        <f t="shared" si="22"/>
        <v>38.88578739241684</v>
      </c>
      <c r="G157" s="6">
        <f t="shared" si="20"/>
        <v>12.275213863494509</v>
      </c>
      <c r="H157" s="49">
        <f t="shared" si="23"/>
        <v>2627.3</v>
      </c>
      <c r="I157" s="59">
        <f t="shared" si="21"/>
        <v>11946.8</v>
      </c>
      <c r="K157" s="154"/>
      <c r="L157" s="158"/>
    </row>
    <row r="158" spans="1:12" ht="21" customHeight="1">
      <c r="A158" s="15" t="s">
        <v>14</v>
      </c>
      <c r="B158" s="164">
        <f>B12+B24+B104+B63+B38+B93+B131+B56+B138+B118</f>
        <v>6121.4</v>
      </c>
      <c r="C158" s="164">
        <f>C12+C24+C104+C63+C38+C93+C131+C56+C138+C118</f>
        <v>18430.100000000002</v>
      </c>
      <c r="D158" s="164">
        <f>D12+D24+D104+D63+D38+D93+D131+D56+D138+D118</f>
        <v>2947.7</v>
      </c>
      <c r="E158" s="6">
        <f>D158/D154*100</f>
        <v>3.0312441191684005</v>
      </c>
      <c r="F158" s="6">
        <f t="shared" si="22"/>
        <v>48.15401705492208</v>
      </c>
      <c r="G158" s="6">
        <f t="shared" si="20"/>
        <v>15.993944688308797</v>
      </c>
      <c r="H158" s="49">
        <f>B158-D158</f>
        <v>3173.7</v>
      </c>
      <c r="I158" s="59">
        <f t="shared" si="21"/>
        <v>15482.400000000001</v>
      </c>
      <c r="K158" s="154"/>
      <c r="L158" s="159"/>
    </row>
    <row r="159" spans="1:12" ht="18.75">
      <c r="A159" s="15" t="s">
        <v>2</v>
      </c>
      <c r="B159" s="48">
        <f>B9+B21+B47+B53+B123</f>
        <v>0</v>
      </c>
      <c r="C159" s="48">
        <f>C9+C21+C47+C53+C123</f>
        <v>0</v>
      </c>
      <c r="D159" s="48">
        <f>D9+D21+D47+D53+D123</f>
        <v>0</v>
      </c>
      <c r="E159" s="6">
        <f>D159/D154*100</f>
        <v>0</v>
      </c>
      <c r="F159" s="6" t="e">
        <f t="shared" si="22"/>
        <v>#DIV/0!</v>
      </c>
      <c r="G159" s="6" t="e">
        <f t="shared" si="20"/>
        <v>#DIV/0!</v>
      </c>
      <c r="H159" s="49">
        <f t="shared" si="23"/>
        <v>0</v>
      </c>
      <c r="I159" s="59">
        <f t="shared" si="21"/>
        <v>0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64703.99999999999</v>
      </c>
      <c r="C160" s="61">
        <f>C154-C155-C156-C157-C158-C159</f>
        <v>175308.29999999993</v>
      </c>
      <c r="D160" s="61">
        <f>D154-D155-D156-D157-D158-D159</f>
        <v>34836.3</v>
      </c>
      <c r="E160" s="28">
        <f>D160/D154*100</f>
        <v>35.82363521002346</v>
      </c>
      <c r="F160" s="28">
        <f t="shared" si="22"/>
        <v>53.83948442136499</v>
      </c>
      <c r="G160" s="28">
        <f t="shared" si="20"/>
        <v>19.871449326700457</v>
      </c>
      <c r="H160" s="82">
        <f t="shared" si="23"/>
        <v>29867.69999999999</v>
      </c>
      <c r="I160" s="82">
        <f t="shared" si="21"/>
        <v>140471.99999999994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4:11" ht="12.75">
      <c r="D163" s="154"/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97243.9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97243.9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2019-01-11T08:55:05Z</cp:lastPrinted>
  <dcterms:created xsi:type="dcterms:W3CDTF">2000-06-20T04:48:00Z</dcterms:created>
  <dcterms:modified xsi:type="dcterms:W3CDTF">2019-01-30T12:59:27Z</dcterms:modified>
  <cp:category/>
  <cp:version/>
  <cp:contentType/>
  <cp:contentStatus/>
</cp:coreProperties>
</file>